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Berger\Downloads\"/>
    </mc:Choice>
  </mc:AlternateContent>
  <bookViews>
    <workbookView xWindow="0" yWindow="0" windowWidth="28800" windowHeight="12300" tabRatio="789" activeTab="3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62913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E63" i="18"/>
  <c r="G63" i="18"/>
  <c r="M63" i="18"/>
  <c r="J63" i="18"/>
  <c r="I53" i="18"/>
  <c r="N53" i="18"/>
  <c r="E53" i="18"/>
  <c r="J53" i="18"/>
  <c r="F63" i="18"/>
  <c r="K63" i="18"/>
  <c r="D22" i="18"/>
  <c r="N21" i="18" s="1"/>
  <c r="G53" i="18"/>
  <c r="M53" i="18"/>
  <c r="I63" i="18"/>
  <c r="N63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K21" i="18" l="1"/>
  <c r="M21" i="18"/>
  <c r="H21" i="18"/>
  <c r="F21" i="18"/>
  <c r="L21" i="18"/>
  <c r="J21" i="18"/>
  <c r="E21" i="18" s="1"/>
  <c r="G21" i="18"/>
  <c r="I21" i="18"/>
  <c r="D56" i="18"/>
  <c r="J55" i="18" s="1"/>
  <c r="E31" i="18"/>
  <c r="D66" i="18"/>
  <c r="K65" i="18" s="1"/>
  <c r="K55" i="18"/>
  <c r="G55" i="18"/>
  <c r="L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L65" i="18" l="1"/>
  <c r="M65" i="18"/>
  <c r="I65" i="18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2" i="7"/>
  <c r="T12" i="7"/>
  <c r="U12" i="7"/>
  <c r="V12" i="7"/>
  <c r="W12" i="7"/>
  <c r="R12" i="7"/>
  <c r="X12" i="7" l="1"/>
  <c r="X21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25" i="7" s="1"/>
  <c r="H21" i="4"/>
  <c r="V25" i="7" s="1"/>
  <c r="G21" i="4"/>
  <c r="U25" i="7" s="1"/>
  <c r="F21" i="4"/>
  <c r="T25" i="7" s="1"/>
  <c r="E21" i="4"/>
  <c r="S25" i="7" s="1"/>
  <c r="D21" i="4"/>
  <c r="R25" i="7" s="1"/>
  <c r="X25" i="7" s="1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25" i="7" l="1"/>
  <c r="L25" i="7"/>
  <c r="H25" i="7"/>
  <c r="N24" i="7"/>
  <c r="J24" i="7"/>
  <c r="P23" i="7"/>
  <c r="L23" i="7"/>
  <c r="H23" i="7"/>
  <c r="N22" i="7"/>
  <c r="J22" i="7"/>
  <c r="P21" i="7"/>
  <c r="L21" i="7"/>
  <c r="H21" i="7"/>
  <c r="N20" i="7"/>
  <c r="J20" i="7"/>
  <c r="P19" i="7"/>
  <c r="L19" i="7"/>
  <c r="H19" i="7"/>
  <c r="N18" i="7"/>
  <c r="J18" i="7"/>
  <c r="P17" i="7"/>
  <c r="L17" i="7"/>
  <c r="H17" i="7"/>
  <c r="N16" i="7"/>
  <c r="J16" i="7"/>
  <c r="P15" i="7"/>
  <c r="L15" i="7"/>
  <c r="H15" i="7"/>
  <c r="N14" i="7"/>
  <c r="J14" i="7"/>
  <c r="P13" i="7"/>
  <c r="L13" i="7"/>
  <c r="H13" i="7"/>
  <c r="N12" i="7"/>
  <c r="J12" i="7"/>
  <c r="K25" i="7"/>
  <c r="F25" i="7"/>
  <c r="M24" i="7"/>
  <c r="I24" i="7"/>
  <c r="O23" i="7"/>
  <c r="K23" i="7"/>
  <c r="F23" i="7"/>
  <c r="M22" i="7"/>
  <c r="I22" i="7"/>
  <c r="O21" i="7"/>
  <c r="M20" i="7"/>
  <c r="I20" i="7"/>
  <c r="K19" i="7"/>
  <c r="I18" i="7"/>
  <c r="K17" i="7"/>
  <c r="I16" i="7"/>
  <c r="F15" i="7"/>
  <c r="O13" i="7"/>
  <c r="M12" i="7"/>
  <c r="O25" i="7"/>
  <c r="N25" i="7"/>
  <c r="J25" i="7"/>
  <c r="P24" i="7"/>
  <c r="L24" i="7"/>
  <c r="H24" i="7"/>
  <c r="N23" i="7"/>
  <c r="J23" i="7"/>
  <c r="P22" i="7"/>
  <c r="L22" i="7"/>
  <c r="H22" i="7"/>
  <c r="N21" i="7"/>
  <c r="J21" i="7"/>
  <c r="P20" i="7"/>
  <c r="L20" i="7"/>
  <c r="H20" i="7"/>
  <c r="N19" i="7"/>
  <c r="J19" i="7"/>
  <c r="P18" i="7"/>
  <c r="L18" i="7"/>
  <c r="H18" i="7"/>
  <c r="N17" i="7"/>
  <c r="J17" i="7"/>
  <c r="P16" i="7"/>
  <c r="L16" i="7"/>
  <c r="H16" i="7"/>
  <c r="N15" i="7"/>
  <c r="J15" i="7"/>
  <c r="P14" i="7"/>
  <c r="L14" i="7"/>
  <c r="H14" i="7"/>
  <c r="N13" i="7"/>
  <c r="J13" i="7"/>
  <c r="P12" i="7"/>
  <c r="L12" i="7"/>
  <c r="H12" i="7"/>
  <c r="I17" i="7"/>
  <c r="F16" i="7"/>
  <c r="O14" i="7"/>
  <c r="K14" i="7"/>
  <c r="M13" i="7"/>
  <c r="O12" i="7"/>
  <c r="F12" i="7"/>
  <c r="F21" i="7"/>
  <c r="F19" i="7"/>
  <c r="O17" i="7"/>
  <c r="M16" i="7"/>
  <c r="K15" i="7"/>
  <c r="I14" i="7"/>
  <c r="F13" i="7"/>
  <c r="M25" i="7"/>
  <c r="I25" i="7"/>
  <c r="O24" i="7"/>
  <c r="K24" i="7"/>
  <c r="F24" i="7"/>
  <c r="M23" i="7"/>
  <c r="I23" i="7"/>
  <c r="O22" i="7"/>
  <c r="K22" i="7"/>
  <c r="F22" i="7"/>
  <c r="M21" i="7"/>
  <c r="I21" i="7"/>
  <c r="O20" i="7"/>
  <c r="K20" i="7"/>
  <c r="F20" i="7"/>
  <c r="M19" i="7"/>
  <c r="I19" i="7"/>
  <c r="O18" i="7"/>
  <c r="K18" i="7"/>
  <c r="F18" i="7"/>
  <c r="M17" i="7"/>
  <c r="O16" i="7"/>
  <c r="K16" i="7"/>
  <c r="M15" i="7"/>
  <c r="I15" i="7"/>
  <c r="F14" i="7"/>
  <c r="I13" i="7"/>
  <c r="K12" i="7"/>
  <c r="K21" i="7"/>
  <c r="O19" i="7"/>
  <c r="M18" i="7"/>
  <c r="F17" i="7"/>
  <c r="O15" i="7"/>
  <c r="M14" i="7"/>
  <c r="K13" i="7"/>
  <c r="I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<sst xmlns="http://schemas.openxmlformats.org/spreadsheetml/2006/main" count="1371" uniqueCount="681">
  <si>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</si>
  <si>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</si>
  <si>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</si>
  <si>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</si>
  <si>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</si>
  <si>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</si>
  <si>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</si>
  <si>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</si>
  <si>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</si>
  <si>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</si>
  <si>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</si>
  <si>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</si>
  <si>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</si>
  <si>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</si>
  <si>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</si>
  <si>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</si>
  <si>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</si>
  <si>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</si>
  <si>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</si>
  <si>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</si>
  <si>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</si>
  <si>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</si>
  <si>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</si>
  <si>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</si>
  <si>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</si>
  <si>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</si>
  <si>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</si>
  <si>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</si>
  <si>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</si>
  <si>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</si>
  <si>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</si>
  <si>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</si>
  <si>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</si>
  <si>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</si>
  <si>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</si>
  <si>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</si>
  <si>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</si>
  <si>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</si>
  <si>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</si>
  <si>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</si>
  <si>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</si>
  <si>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</si>
  <si>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</si>
  <si>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</si>
  <si>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</si>
  <si>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</si>
  <si>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</si>
  <si>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</si>
  <si>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</si>
  <si>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</si>
  <si>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</si>
  <si>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</si>
  <si>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</si>
  <si>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</si>
  <si>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</si>
  <si>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</si>
  <si>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</si>
  <si>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</si>
  <si>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</si>
  <si>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</si>
  <si>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</si>
  <si>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</si>
  <si>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</si>
  <si>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</si>
  <si>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</si>
  <si>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</si>
  <si>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</si>
  <si>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</si>
  <si>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</si>
  <si>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</si>
  <si>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</si>
  <si>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</si>
  <si>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</si>
  <si>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</si>
  <si>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</si>
  <si>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</si>
  <si>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</si>
  <si>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</si>
  <si>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</si>
  <si>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</si>
  <si>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</si>
  <si>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</si>
  <si>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</si>
  <si>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</si>
  <si>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</si>
  <si>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</si>
  <si>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</si>
  <si>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</si>
  <si>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</si>
  <si>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</si>
  <si>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</si>
  <si>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</si>
  <si>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</si>
  <si>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</si>
  <si>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</si>
  <si>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</si>
  <si>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</si>
  <si>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</si>
  <si>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</si>
  <si>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</si>
  <si>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</si>
  <si>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</si>
  <si>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</si>
  <si>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</si>
  <si>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</si>
  <si>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</si>
  <si>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</si>
  <si>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</si>
  <si>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</si>
  <si>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</si>
  <si>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</si>
  <si>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</si>
  <si>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</si>
  <si>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</si>
  <si>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</si>
  <si>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</si>
  <si>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</si>
  <si>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</si>
  <si>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</si>
  <si>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</si>
  <si>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</si>
  <si>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</si>
  <si>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</si>
  <si>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</si>
  <si>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</si>
  <si>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</si>
  <si>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</si>
  <si>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</si>
  <si>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</si>
  <si>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</si>
  <si>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</si>
  <si>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</si>
  <si>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</si>
  <si>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</si>
  <si>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</si>
  <si>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</si>
  <si>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</si>
  <si>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</si>
  <si>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</si>
  <si>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</si>
  <si>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</si>
  <si>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</si>
  <si>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</si>
  <si>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</si>
  <si>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</si>
  <si>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</si>
  <si>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</si>
  <si>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</si>
  <si>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</si>
  <si>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</si>
  <si>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</si>
  <si>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</si>
  <si>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</si>
  <si>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</si>
  <si>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</si>
  <si>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</si>
  <si>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</si>
  <si>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</si>
  <si>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</si>
  <si>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</si>
  <si>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</si>
  <si>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</si>
  <si>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</si>
  <si>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</si>
  <si>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</si>
  <si>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</si>
  <si>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</si>
  <si>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</si>
  <si>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</si>
  <si>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</si>
  <si>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</si>
  <si>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</si>
  <si>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</si>
  <si>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</si>
  <si>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</si>
  <si>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</si>
  <si>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</si>
  <si>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</si>
  <si>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</si>
  <si>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</si>
  <si>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</si>
  <si>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</si>
  <si>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</si>
  <si>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</si>
  <si>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</si>
  <si>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</si>
  <si>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</si>
  <si>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</si>
  <si>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</si>
  <si>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</si>
  <si>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</si>
  <si>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</si>
  <si>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</si>
  <si>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</si>
  <si>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</si>
  <si>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</si>
  <si>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</si>
  <si>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</si>
  <si>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</si>
  <si>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</si>
  <si>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</si>
  <si>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</si>
  <si>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</si>
  <si>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</si>
  <si>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</si>
  <si>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</si>
  <si>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</si>
  <si>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</si>
  <si>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</si>
  <si>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</si>
  <si>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</si>
  <si>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</si>
  <si>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</si>
  <si>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</si>
  <si>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</si>
  <si>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</si>
  <si>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</si>
  <si>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</si>
  <si>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</si>
  <si>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</si>
  <si>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</si>
  <si>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</si>
  <si>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</si>
  <si>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</si>
  <si>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</si>
  <si>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</si>
  <si>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</si>
  <si>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</si>
  <si>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</si>
  <si>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</si>
  <si>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</si>
  <si>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</si>
  <si>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</si>
  <si>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</si>
  <si>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</si>
  <si>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</si>
  <si>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</si>
  <si>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</si>
  <si>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</si>
  <si>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</si>
  <si>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</si>
  <si>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</si>
  <si>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</si>
  <si>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</si>
  <si>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</si>
  <si>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</si>
  <si>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</si>
  <si>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</si>
  <si>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</si>
  <si>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</si>
  <si>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</si>
  <si>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</si>
  <si>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</si>
  <si>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</si>
  <si>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</si>
  <si>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</si>
  <si>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</si>
  <si>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</si>
  <si>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</si>
  <si>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</si>
  <si>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</si>
  <si>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</si>
  <si>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</si>
  <si>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</si>
  <si>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</si>
  <si>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</si>
  <si>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</si>
  <si>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</si>
  <si>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</si>
  <si>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</si>
  <si>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</si>
  <si>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</si>
  <si>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</si>
  <si>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</si>
  <si>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</si>
  <si>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</si>
  <si>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</si>
  <si>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</si>
  <si>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</si>
  <si>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</si>
  <si>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</si>
  <si>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</si>
  <si>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</si>
  <si>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</si>
  <si>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</si>
  <si>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</si>
  <si>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</si>
  <si>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</si>
  <si>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</si>
  <si>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</si>
  <si>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</si>
  <si>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</si>
  <si>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</si>
  <si>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</si>
  <si>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</si>
  <si>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</si>
  <si>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</si>
  <si>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</si>
  <si>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</si>
  <si>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</si>
  <si>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</si>
  <si>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</si>
  <si>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</si>
  <si>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</si>
  <si>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</si>
  <si>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</si>
  <si>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</si>
  <si>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</si>
  <si>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</si>
  <si>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</si>
  <si>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</si>
  <si>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</si>
  <si>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</si>
  <si>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</si>
  <si>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</si>
  <si>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</si>
  <si>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</si>
  <si>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</si>
  <si>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</si>
  <si>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</si>
  <si>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</si>
  <si>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</si>
  <si>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</si>
  <si>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</si>
  <si>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</si>
  <si>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</si>
  <si>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</si>
  <si>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</si>
  <si>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</si>
  <si>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</si>
  <si>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</si>
  <si>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</si>
  <si>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</si>
  <si>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</si>
  <si>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</si>
  <si>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</si>
  <si>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</si>
  <si>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</si>
  <si>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</si>
  <si>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</si>
  <si>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</si>
  <si>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</si>
  <si>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</si>
  <si>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</si>
  <si>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</si>
  <si>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</si>
  <si>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</si>
  <si>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</si>
  <si>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</si>
  <si>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</si>
  <si>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</si>
  <si>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</si>
  <si>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</si>
  <si>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</si>
  <si>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</si>
  <si>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</si>
  <si>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</si>
  <si>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</si>
  <si>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</si>
  <si>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</si>
  <si>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</si>
  <si>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</si>
  <si>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</si>
  <si>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</si>
  <si>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</si>
  <si>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</si>
  <si>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</si>
  <si>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</si>
  <si>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</si>
  <si>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</si>
  <si>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</si>
  <si>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</si>
  <si>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</si>
  <si>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</si>
  <si>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</si>
  <si>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</si>
  <si>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</si>
  <si>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</si>
  <si>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</si>
  <si>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</si>
  <si>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</si>
  <si>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</si>
  <si>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</si>
  <si>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</si>
  <si>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</si>
  <si>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</si>
  <si>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</si>
  <si>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</si>
  <si>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</si>
  <si>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</si>
  <si>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</si>
  <si>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</si>
  <si>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</si>
  <si>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</si>
  <si>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</si>
  <si>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</si>
  <si>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</si>
  <si>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</si>
  <si>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</si>
  <si>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</si>
  <si>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</si>
  <si>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</si>
  <si>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</si>
  <si>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</si>
  <si>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</si>
  <si>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</si>
  <si>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</si>
  <si>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</si>
  <si>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</si>
  <si>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</si>
  <si>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</si>
  <si>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</si>
  <si>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</si>
  <si>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</si>
  <si>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</si>
  <si>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</si>
  <si>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</si>
  <si>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</si>
  <si>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</si>
  <si>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</si>
  <si>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</si>
  <si>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</si>
  <si>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</si>
  <si>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</si>
  <si>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</si>
  <si>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</si>
  <si>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</si>
  <si>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</si>
  <si>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</si>
  <si>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</si>
  <si>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</si>
  <si>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</si>
  <si>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</si>
  <si>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</si>
  <si>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</si>
  <si>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</si>
  <si>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</si>
  <si>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</si>
  <si>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</si>
  <si>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</si>
  <si>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</si>
  <si>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</si>
  <si>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</si>
  <si>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</si>
  <si>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</si>
  <si>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</si>
  <si>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</si>
  <si>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</si>
  <si>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</si>
  <si>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</si>
  <si>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</si>
  <si>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</si>
  <si>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</si>
  <si>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</si>
  <si>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</si>
  <si>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</si>
  <si>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</si>
  <si>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</si>
  <si>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</si>
  <si>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</si>
  <si>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</si>
  <si>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</si>
  <si>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</si>
  <si>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</si>
  <si>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</si>
  <si>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</si>
  <si>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</si>
  <si>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</si>
  <si>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</si>
  <si>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</si>
  <si>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</si>
  <si>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</si>
  <si>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</si>
  <si>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</si>
  <si>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</si>
  <si>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</si>
  <si>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</si>
  <si>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</si>
  <si>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</si>
  <si>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</si>
  <si>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</si>
  <si>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</si>
  <si>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</si>
  <si>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</si>
  <si>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</si>
  <si>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</si>
  <si>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</si>
  <si>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</si>
  <si>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</si>
  <si>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</si>
  <si>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</si>
  <si>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</si>
  <si>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</si>
  <si>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</si>
  <si>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</si>
  <si>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</si>
  <si>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</si>
  <si>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</si>
  <si>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</si>
  <si>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</si>
  <si>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</si>
  <si>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</si>
  <si>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</si>
  <si>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</si>
  <si>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</si>
  <si>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</si>
  <si>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</si>
  <si>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</si>
  <si>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</si>
  <si>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</si>
  <si>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</si>
  <si>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</si>
  <si>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</si>
  <si>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</si>
  <si>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</si>
  <si>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</si>
  <si>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</si>
  <si>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</si>
  <si>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</si>
  <si>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</si>
  <si>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</si>
  <si>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</si>
  <si>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</si>
  <si>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</si>
  <si>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</si>
  <si>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</si>
  <si>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</si>
  <si>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</si>
  <si>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</si>
  <si>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</si>
  <si>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</si>
  <si>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</si>
  <si>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</si>
  <si>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</si>
  <si>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</si>
  <si>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</si>
  <si>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</si>
  <si>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</si>
  <si>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</si>
  <si>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</si>
  <si>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</si>
  <si>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</si>
  <si>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</si>
  <si>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</si>
  <si>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</si>
  <si>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</si>
  <si>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</si>
  <si>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</si>
  <si>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</si>
  <si>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</si>
  <si>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</si>
  <si>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</si>
  <si>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</si>
  <si>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</si>
  <si>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</si>
  <si>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</si>
  <si>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</si>
  <si>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</si>
  <si>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</si>
  <si>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</si>
  <si>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</si>
  <si>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</si>
  <si>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</si>
  <si>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</si>
  <si>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</si>
  <si>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</si>
  <si>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</si>
  <si>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</si>
  <si>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</si>
  <si>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</si>
  <si>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</si>
  <si>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</si>
  <si>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</si>
  <si>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</si>
  <si>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</si>
  <si>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</si>
  <si>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</si>
  <si>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</si>
  <si>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</si>
  <si>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</si>
  <si>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</si>
  <si>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</si>
  <si>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</si>
  <si>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</si>
  <si>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</si>
  <si>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</si>
  <si>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</si>
  <si>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</si>
  <si>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</si>
  <si>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</si>
  <si>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</si>
  <si>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</si>
  <si>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</si>
  <si>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</si>
  <si>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</si>
  <si>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</si>
  <si>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</si>
  <si>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</si>
  <si>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</si>
  <si>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</si>
  <si>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</si>
  <si>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</si>
  <si>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</si>
  <si>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</si>
  <si>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</si>
  <si>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</si>
  <si>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</si>
  <si>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</si>
  <si>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</si>
  <si>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</si>
  <si>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</si>
  <si>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</si>
  <si>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</si>
  <si>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</si>
  <si>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</si>
  <si>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</si>
  <si>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</si>
  <si>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</si>
  <si>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</si>
  <si>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</si>
  <si>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</si>
  <si>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</si>
  <si>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</si>
  <si>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</si>
  <si>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</si>
  <si>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</si>
  <si>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</si>
  <si>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</si>
  <si>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</si>
  <si>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</si>
  <si>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</si>
  <si>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</si>
  <si>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</si>
  <si>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</si>
  <si>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</si>
  <si>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</si>
  <si>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</si>
  <si>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</si>
  <si>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</si>
  <si>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</si>
  <si>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</si>
  <si>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</si>
  <si>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</si>
  <si>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</si>
  <si>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</si>
  <si>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</si>
  <si>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</si>
  <si>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</si>
  <si>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</si>
  <si>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</si>
  <si>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</si>
  <si>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</si>
  <si>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</si>
  <si>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</si>
  <si>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</si>
  <si>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Die Veröffentlichung erfolgt im Rahmen der Vorgaben der Kooperationsvereinbarung und des Leitfadens "Abwicklung von Standardlastprofilen Gas".</t>
  </si>
  <si>
    <t>Bei Netzbetreibern mit Marktgebietsüberlappung sollte das SLP Verfahren in beiden Marktgebieten identisch sein.</t>
  </si>
  <si>
    <t>Teutoburger Energie Netzwerk eG</t>
  </si>
  <si>
    <t>9870096400006</t>
  </si>
  <si>
    <t>Höhenweg 14</t>
  </si>
  <si>
    <t>Hagen a.T.W.</t>
  </si>
  <si>
    <t>Gerold Menke</t>
  </si>
  <si>
    <t>gerold.menke@ten-eg.de</t>
  </si>
  <si>
    <t>05401/8922-47</t>
  </si>
  <si>
    <t>Netzgebiet TEN</t>
  </si>
  <si>
    <t>NCLN007009640000</t>
  </si>
  <si>
    <t>DE_GMK04</t>
  </si>
  <si>
    <t>DE_GPD04</t>
  </si>
  <si>
    <t>DE_GHA04</t>
  </si>
  <si>
    <t>DE_GBD04</t>
  </si>
  <si>
    <t>DE_GKO04</t>
  </si>
  <si>
    <t>DE_GBH04</t>
  </si>
  <si>
    <t>DE_GGA04</t>
  </si>
  <si>
    <t>DE_GBA04</t>
  </si>
  <si>
    <t>DE_GWA04</t>
  </si>
  <si>
    <t>DE_GGB04</t>
  </si>
  <si>
    <t>DE_GMF04</t>
  </si>
  <si>
    <t>FMO</t>
  </si>
  <si>
    <t>FMO (DWD-Station 10315 TEN eG)</t>
  </si>
  <si>
    <t>Deutscher Wetterdienst (DWD)</t>
  </si>
  <si>
    <t>10315 TEN 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</si>
</sst>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B7" sqref="B7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s="8" t="s">
        <v>655</v>
      </c>
    </row>
    <row r="8" spans="2:7" s="8" customFormat="1">
      <c r="B8" s="8" t="s">
        <v>654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652</v>
      </c>
    </row>
    <row r="12" spans="2:7" s="8" customFormat="1">
      <c r="B12" s="8" t="s">
        <v>656</v>
      </c>
    </row>
    <row r="13" spans="2:7" s="8" customFormat="1">
      <c r="B13" s="8" t="s">
        <v>653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7" t="s">
        <v>645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16" zoomScale="80" zoomScaleNormal="80" workbookViewId="0">
      <selection activeCell="C6" sqref="C6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649</v>
      </c>
      <c r="D4" s="27">
        <v>43433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648</v>
      </c>
      <c r="D6" s="27">
        <v>43497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1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49170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395</v>
      </c>
      <c r="E27" s="39"/>
      <c r="F27" s="11"/>
    </row>
    <row r="28" spans="1:15">
      <c r="B28" s="15"/>
      <c r="C28" s="65" t="s">
        <v>498</v>
      </c>
      <c r="D28" s="48" t="str">
        <f>IF(D27&lt;&gt;C28,VLOOKUP(D27,$C$29:$D$48,2,FALSE),C28)</f>
        <v>Netzgebiet TEN</v>
      </c>
      <c r="E28" s="38"/>
      <c r="F28" s="11"/>
      <c r="G28" s="2"/>
    </row>
    <row r="29" spans="1:15">
      <c r="B29" s="15"/>
      <c r="C29" s="22" t="s">
        <v>395</v>
      </c>
      <c r="D29" s="45" t="s">
        <v>664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0" zoomScale="80" zoomScaleNormal="80" workbookViewId="0">
      <selection activeCell="D48" sqref="D4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Teutoburger Energie Netzwerk eG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Netzgebiet TEN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9870096400006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43497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610</v>
      </c>
      <c r="D13" s="33" t="s">
        <v>612</v>
      </c>
      <c r="E13" s="15"/>
      <c r="H13" s="271" t="s">
        <v>611</v>
      </c>
      <c r="I13" s="271" t="s">
        <v>612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1" t="s">
        <v>665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428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368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570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608</v>
      </c>
      <c r="D22" s="49" t="s">
        <v>604</v>
      </c>
      <c r="E22" s="15"/>
      <c r="H22" s="267" t="s">
        <v>604</v>
      </c>
      <c r="I22" s="267" t="s">
        <v>605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606</v>
      </c>
      <c r="E23" s="15"/>
      <c r="H23" s="267" t="s">
        <v>607</v>
      </c>
      <c r="I23" s="8" t="s">
        <v>603</v>
      </c>
      <c r="J23" s="8"/>
      <c r="K23" s="8"/>
      <c r="L23" s="268"/>
    </row>
    <row r="24" spans="2:16" ht="15" customHeight="1">
      <c r="B24" s="22"/>
      <c r="C24" s="24" t="s">
        <v>609</v>
      </c>
      <c r="D24" s="24" t="str">
        <f>IF(D22=$H$22,L24,IF(D23=$H$24,M24,N24))</f>
        <v>=&gt;  Q(D) = KW  x  h(T, SLP-Typ)  x  F(WT)</v>
      </c>
      <c r="E24" s="15"/>
      <c r="H24" s="267" t="s">
        <v>606</v>
      </c>
      <c r="I24" s="267" t="s">
        <v>613</v>
      </c>
      <c r="J24" s="8"/>
      <c r="K24" s="8"/>
      <c r="L24" s="270" t="s">
        <v>614</v>
      </c>
      <c r="M24" s="270" t="s">
        <v>616</v>
      </c>
      <c r="N24" s="270" t="s">
        <v>615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573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617</v>
      </c>
      <c r="D27" s="42" t="s">
        <v>618</v>
      </c>
      <c r="E27" s="15"/>
      <c r="H27" s="297" t="s">
        <v>618</v>
      </c>
      <c r="I27" s="269" t="s">
        <v>619</v>
      </c>
      <c r="J27" s="269" t="s">
        <v>620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621</v>
      </c>
      <c r="I28" s="270" t="s">
        <v>622</v>
      </c>
      <c r="J28" s="270" t="s">
        <v>623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624</v>
      </c>
      <c r="I29" s="270" t="s">
        <v>625</v>
      </c>
      <c r="J29" s="270" t="s">
        <v>626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572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627</v>
      </c>
      <c r="I32" s="270" t="s">
        <v>628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629</v>
      </c>
      <c r="I33" s="267" t="s">
        <v>624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544</v>
      </c>
      <c r="C35" s="24" t="s">
        <v>494</v>
      </c>
      <c r="D35" s="42">
        <v>14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545</v>
      </c>
      <c r="C37" s="5" t="s">
        <v>365</v>
      </c>
      <c r="D37" s="34">
        <v>1500000</v>
      </c>
      <c r="E37" s="15" t="s">
        <v>502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546</v>
      </c>
      <c r="C40" s="5" t="s">
        <v>366</v>
      </c>
      <c r="D40" s="36">
        <v>500</v>
      </c>
      <c r="E40" s="15" t="s">
        <v>536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535</v>
      </c>
    </row>
    <row r="44" spans="2:39" ht="18" customHeight="1">
      <c r="C44" s="3" t="s">
        <v>537</v>
      </c>
    </row>
    <row r="45" spans="2:39" ht="18" customHeight="1">
      <c r="C45" s="3"/>
    </row>
    <row r="46" spans="2:39" ht="15" customHeight="1">
      <c r="B46" s="22" t="s">
        <v>547</v>
      </c>
      <c r="C46" s="60" t="s">
        <v>571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581</v>
      </c>
      <c r="D48" s="45" t="s">
        <v>678</v>
      </c>
    </row>
    <row r="49" spans="3:4" ht="18" customHeight="1">
      <c r="C49" s="22" t="s">
        <v>582</v>
      </c>
      <c r="D49" s="45"/>
    </row>
    <row r="50" spans="3:4" ht="18" customHeight="1">
      <c r="C50" s="22" t="s">
        <v>583</v>
      </c>
      <c r="D50" s="45"/>
    </row>
    <row r="51" spans="3:4" ht="18" customHeight="1">
      <c r="C51" s="22" t="s">
        <v>584</v>
      </c>
      <c r="D51" s="45"/>
    </row>
    <row r="52" spans="3:4" ht="18" customHeight="1">
      <c r="C52" s="22" t="s">
        <v>585</v>
      </c>
      <c r="D52" s="45"/>
    </row>
    <row r="53" spans="3:4" ht="18" customHeight="1">
      <c r="C53" s="22" t="s">
        <v>586</v>
      </c>
      <c r="D53" s="45"/>
    </row>
    <row r="54" spans="3:4" ht="18" customHeight="1">
      <c r="C54" s="22" t="s">
        <v>587</v>
      </c>
      <c r="D54" s="45"/>
    </row>
    <row r="55" spans="3:4" ht="18" customHeight="1">
      <c r="C55" s="22" t="s">
        <v>588</v>
      </c>
      <c r="D55" s="45"/>
    </row>
    <row r="56" spans="3:4" ht="18" customHeight="1">
      <c r="C56" s="22" t="s">
        <v>589</v>
      </c>
      <c r="D56" s="45"/>
    </row>
    <row r="57" spans="3:4" ht="18" customHeight="1">
      <c r="C57" s="22" t="s">
        <v>590</v>
      </c>
      <c r="D57" s="45"/>
    </row>
    <row r="58" spans="3:4" ht="18" customHeight="1">
      <c r="C58" s="22" t="s">
        <v>591</v>
      </c>
      <c r="D58" s="45"/>
    </row>
    <row r="59" spans="3:4" ht="18" customHeight="1">
      <c r="C59" s="22" t="s">
        <v>592</v>
      </c>
      <c r="D59" s="45"/>
    </row>
    <row r="60" spans="3:4" ht="18" customHeight="1">
      <c r="C60" s="22" t="s">
        <v>593</v>
      </c>
      <c r="D60" s="45"/>
    </row>
    <row r="61" spans="3:4" ht="18" customHeight="1">
      <c r="C61" s="22" t="s">
        <v>594</v>
      </c>
      <c r="D61" s="45"/>
    </row>
    <row r="62" spans="3:4" ht="18" customHeight="1">
      <c r="C62" s="22" t="s">
        <v>595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abSelected="1" zoomScale="70" zoomScaleNormal="70" workbookViewId="0">
      <selection activeCell="E25" sqref="E25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Teutoburger Energie Netzwerk eG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Netzgebiet TEN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9870096400006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43497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1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 t="str">
        <f>INDEX('SLP-Verfahren'!D48:D62,'SLP-Temp-Gebiet #01'!F10)</f>
        <v>FMO (DWD-Station 10315 TEN eG)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3" t="s">
        <v>579</v>
      </c>
      <c r="D13" s="343"/>
      <c r="E13" s="343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4" t="s">
        <v>448</v>
      </c>
      <c r="D14" s="344"/>
      <c r="E14" s="89" t="s">
        <v>449</v>
      </c>
      <c r="F14" s="262" t="s">
        <v>85</v>
      </c>
      <c r="G14" s="263" t="s">
        <v>567</v>
      </c>
      <c r="H14" s="51">
        <v>0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4" t="s">
        <v>387</v>
      </c>
      <c r="D15" s="344"/>
      <c r="E15" s="89" t="s">
        <v>449</v>
      </c>
      <c r="F15" s="262" t="s">
        <v>71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679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511</v>
      </c>
      <c r="E21" s="281">
        <f>1-SUMPRODUCT(F19:N19,F21:N21)</f>
        <v>1</v>
      </c>
      <c r="F21" s="281">
        <f>ROUND(F22/$D$22,4)</f>
        <v>0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1</v>
      </c>
      <c r="E22" s="283">
        <v>1</v>
      </c>
      <c r="F22" s="283"/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/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499</v>
      </c>
      <c r="T23" s="288" t="str">
        <f>O15</f>
        <v>Deutscher Wetterdienst (DWD)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342" t="s">
        <v>677</v>
      </c>
      <c r="F24" s="342"/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 t="s">
        <v>680</v>
      </c>
      <c r="F25" s="159"/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500</v>
      </c>
      <c r="F26" s="155"/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1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0</v>
      </c>
      <c r="G29" s="176">
        <f t="shared" si="2"/>
        <v>0</v>
      </c>
      <c r="H29" s="176">
        <f t="shared" si="2"/>
        <v>0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1</v>
      </c>
      <c r="F31" s="279">
        <f>ROUND(F32/$D$32,4)</f>
        <v>0.5</v>
      </c>
      <c r="G31" s="279">
        <f t="shared" ref="G31:N31" si="3">ROUND(G32/$D$32,4)</f>
        <v>0.25</v>
      </c>
      <c r="H31" s="279">
        <f t="shared" si="3"/>
        <v>0.125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533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511</v>
      </c>
      <c r="E55" s="279">
        <f>1-SUMPRODUCT(F53:N53,F55:N55)</f>
        <v>1</v>
      </c>
      <c r="F55" s="279">
        <f>ROUND(F56/$D$56,4)</f>
        <v>0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1</v>
      </c>
      <c r="E56" s="280">
        <f>E22</f>
        <v>1</v>
      </c>
      <c r="F56" s="280">
        <f t="shared" ref="F56:N56" si="6">F22</f>
        <v>0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>
        <f t="shared" ref="F57:N57" si="7">F23</f>
        <v>0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FMO</v>
      </c>
      <c r="F58" s="155">
        <f t="shared" ref="F58:N58" si="8">F24</f>
        <v>0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 t="str">
        <f>E25</f>
        <v>10315 TEN eG</v>
      </c>
      <c r="F59" s="159">
        <f t="shared" ref="F59:N59" si="9">F25</f>
        <v>0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>
        <f t="shared" ref="F60:N60" si="10">F26</f>
        <v>0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1</v>
      </c>
    </row>
    <row r="63" spans="2:28" ht="15" customHeight="1">
      <c r="E63" s="176">
        <f>IF(E64&gt;$F$62,0,1)</f>
        <v>1</v>
      </c>
      <c r="F63" s="176">
        <f t="shared" ref="F63:N63" si="11">IF(F64&gt;$F$62,0,1)</f>
        <v>0</v>
      </c>
      <c r="G63" s="176">
        <f t="shared" si="11"/>
        <v>0</v>
      </c>
      <c r="H63" s="176">
        <f t="shared" si="11"/>
        <v>0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1</v>
      </c>
      <c r="F65" s="279">
        <f>ROUND(F66/$D$66,4)</f>
        <v>0.5</v>
      </c>
      <c r="G65" s="279">
        <f t="shared" ref="G65:N65" si="12">ROUND(G66/$D$66,4)</f>
        <v>0.25</v>
      </c>
      <c r="H65" s="279">
        <f t="shared" si="12"/>
        <v>0.125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528</v>
      </c>
      <c r="D66" s="184">
        <f>SUMPRODUCT(E66:N66,E63:N63)</f>
        <v>1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533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5" t="s">
        <v>575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 E56:N60 E22 I22:N22 F52 F62 G24:N24 G70:N70 E32:N34 E69:N69 G25:N25 G26:N2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Teutoburger Energie Netzwerk eG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Netzgebiet TEN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9870096400006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43497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2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3" t="s">
        <v>579</v>
      </c>
      <c r="D13" s="343"/>
      <c r="E13" s="343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4" t="s">
        <v>448</v>
      </c>
      <c r="D14" s="344"/>
      <c r="E14" s="89" t="s">
        <v>449</v>
      </c>
      <c r="F14" s="262" t="s">
        <v>85</v>
      </c>
      <c r="G14" s="263" t="s">
        <v>567</v>
      </c>
      <c r="H14" s="51">
        <v>0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4" t="s">
        <v>387</v>
      </c>
      <c r="D15" s="344"/>
      <c r="E15" s="89" t="s">
        <v>449</v>
      </c>
      <c r="F15" s="262" t="s">
        <v>71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523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511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499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576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533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511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533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5" t="s">
        <v>575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4" zoomScale="80" zoomScaleNormal="80" workbookViewId="0">
      <selection activeCell="C18" sqref="C17:C18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Teutoburger Energie Netzwerk eG</v>
      </c>
      <c r="E5" s="129"/>
      <c r="J5" s="88" t="s">
        <v>496</v>
      </c>
      <c r="K5" s="130" t="s">
        <v>497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Netzgebiet TEN</v>
      </c>
      <c r="E6" s="129"/>
      <c r="F6" s="129"/>
      <c r="K6" s="130" t="s">
        <v>504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9870096400006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43497</v>
      </c>
      <c r="E8" s="129"/>
      <c r="F8" s="129"/>
      <c r="H8" s="127" t="s">
        <v>494</v>
      </c>
      <c r="J8" s="131">
        <f>COUNTA(D12:D100)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2" t="s">
        <v>506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630</v>
      </c>
      <c r="M10" s="149" t="s">
        <v>639</v>
      </c>
      <c r="N10" s="150" t="s">
        <v>640</v>
      </c>
      <c r="O10" s="150" t="s">
        <v>641</v>
      </c>
      <c r="P10" s="151" t="s">
        <v>642</v>
      </c>
      <c r="Q10" s="145" t="s">
        <v>631</v>
      </c>
      <c r="R10" s="135" t="s">
        <v>632</v>
      </c>
      <c r="S10" s="136" t="s">
        <v>633</v>
      </c>
      <c r="T10" s="136" t="s">
        <v>634</v>
      </c>
      <c r="U10" s="136" t="s">
        <v>635</v>
      </c>
      <c r="V10" s="136" t="s">
        <v>636</v>
      </c>
      <c r="W10" s="136" t="s">
        <v>637</v>
      </c>
      <c r="X10" s="137" t="s">
        <v>638</v>
      </c>
      <c r="Y10" s="294" t="s">
        <v>643</v>
      </c>
    </row>
    <row r="11" spans="2:26" ht="15.75" thickBot="1">
      <c r="B11" s="138" t="s">
        <v>495</v>
      </c>
      <c r="C11" s="139" t="s">
        <v>505</v>
      </c>
      <c r="D11" s="293" t="s">
        <v>247</v>
      </c>
      <c r="E11" s="163" t="s">
        <v>512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Netzgebiet TEN</v>
      </c>
      <c r="D12" s="62" t="s">
        <v>247</v>
      </c>
      <c r="E12" s="164" t="s">
        <v>24</v>
      </c>
      <c r="F12" s="296" t="str">
        <f>VLOOKUP($E12,'BDEW-Standard'!$B$3:$M$158,F$9,0)</f>
        <v>I14</v>
      </c>
      <c r="H12" s="273">
        <f>ROUND(VLOOKUP($E12,'BDEW-Standard'!$B$3:$M$158,H$9,0),7)</f>
        <v>3.1935978</v>
      </c>
      <c r="I12" s="273">
        <f>ROUND(VLOOKUP($E12,'BDEW-Standard'!$B$3:$M$158,I$9,0),7)</f>
        <v>-37.414247799999998</v>
      </c>
      <c r="J12" s="273">
        <f>ROUND(VLOOKUP($E12,'BDEW-Standard'!$B$3:$M$158,J$9,0),7)</f>
        <v>6.1824021</v>
      </c>
      <c r="K12" s="273">
        <f>ROUND(VLOOKUP($E12,'BDEW-Standard'!$B$3:$M$158,K$9,0),7)</f>
        <v>8.1086000000000005E-2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5" si="1">($H12/(1+($I12/($Q$9-$L12))^$J12)+$K12)+MAX($M12*$Q$9+$N12,$O12*$Q$9+$P12)</f>
        <v>0.96123311186795624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Netzgebiet TEN</v>
      </c>
      <c r="D13" s="62" t="s">
        <v>247</v>
      </c>
      <c r="E13" s="164" t="s">
        <v>32</v>
      </c>
      <c r="F13" s="296" t="str">
        <f>VLOOKUP($E13,'BDEW-Standard'!$B$3:$M$158,F$9,0)</f>
        <v>I24</v>
      </c>
      <c r="H13" s="273">
        <f>ROUND(VLOOKUP($E13,'BDEW-Standard'!$B$3:$M$158,H$9,0),7)</f>
        <v>2.529738</v>
      </c>
      <c r="I13" s="273">
        <f>ROUND(VLOOKUP($E13,'BDEW-Standard'!$B$3:$M$158,I$9,0),7)</f>
        <v>-35.0300145</v>
      </c>
      <c r="J13" s="273">
        <f>ROUND(VLOOKUP($E13,'BDEW-Standard'!$B$3:$M$158,J$9,0),7)</f>
        <v>6.2051109000000002</v>
      </c>
      <c r="K13" s="273">
        <f>ROUND(VLOOKUP($E13,'BDEW-Standard'!$B$3:$M$158,K$9,0),7)</f>
        <v>0.1058318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1.0247084991768873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5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Netzgebiet TEN</v>
      </c>
      <c r="D14" s="62" t="s">
        <v>247</v>
      </c>
      <c r="E14" s="164" t="s">
        <v>4</v>
      </c>
      <c r="F14" s="296" t="str">
        <f>VLOOKUP($E14,'BDEW-Standard'!$B$3:$M$158,F$9,0)</f>
        <v>HK3</v>
      </c>
      <c r="H14" s="273">
        <f>ROUND(VLOOKUP($E14,'BDEW-Standard'!$B$3:$M$158,H$9,0),7)</f>
        <v>0.40409319999999999</v>
      </c>
      <c r="I14" s="273">
        <f>ROUND(VLOOKUP($E14,'BDEW-Standard'!$B$3:$M$158,I$9,0),7)</f>
        <v>-24.439296800000001</v>
      </c>
      <c r="J14" s="273">
        <f>ROUND(VLOOKUP($E14,'BDEW-Standard'!$B$3:$M$158,J$9,0),7)</f>
        <v>6.5718174999999999</v>
      </c>
      <c r="K14" s="273">
        <f>ROUND(VLOOKUP($E14,'BDEW-Standard'!$B$3:$M$158,K$9,0),7)</f>
        <v>0.71077100000000004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Netzgebiet TEN</v>
      </c>
      <c r="D15" s="62" t="s">
        <v>247</v>
      </c>
      <c r="E15" s="164" t="s">
        <v>666</v>
      </c>
      <c r="F15" s="296" t="str">
        <f>VLOOKUP($E15,'BDEW-Standard'!$B$3:$M$158,F$9,0)</f>
        <v>MK4</v>
      </c>
      <c r="H15" s="273">
        <f>ROUND(VLOOKUP($E15,'BDEW-Standard'!$B$3:$M$158,H$9,0),7)</f>
        <v>3.1177248</v>
      </c>
      <c r="I15" s="273">
        <f>ROUND(VLOOKUP($E15,'BDEW-Standard'!$B$3:$M$158,I$9,0),7)</f>
        <v>-35.871506199999999</v>
      </c>
      <c r="J15" s="273">
        <f>ROUND(VLOOKUP($E15,'BDEW-Standard'!$B$3:$M$158,J$9,0),7)</f>
        <v>7.5186828999999999</v>
      </c>
      <c r="K15" s="273">
        <f>ROUND(VLOOKUP($E15,'BDEW-Standard'!$B$3:$M$158,K$9,0),7)</f>
        <v>3.4330100000000002E-2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0.9622064996731321</v>
      </c>
      <c r="R15" s="274">
        <f>ROUND(VLOOKUP(MID($E15,4,3),'Wochentag F(WT)'!$B$7:$J$22,R$9,0),4)</f>
        <v>1.0699000000000001</v>
      </c>
      <c r="S15" s="274">
        <f>ROUND(VLOOKUP(MID($E15,4,3),'Wochentag F(WT)'!$B$7:$J$22,S$9,0),4)</f>
        <v>1.0365</v>
      </c>
      <c r="T15" s="274">
        <f>ROUND(VLOOKUP(MID($E15,4,3),'Wochentag F(WT)'!$B$7:$J$22,T$9,0),4)</f>
        <v>0.99329999999999996</v>
      </c>
      <c r="U15" s="274">
        <f>ROUND(VLOOKUP(MID($E15,4,3),'Wochentag F(WT)'!$B$7:$J$22,U$9,0),4)</f>
        <v>0.99480000000000002</v>
      </c>
      <c r="V15" s="274">
        <f>ROUND(VLOOKUP(MID($E15,4,3),'Wochentag F(WT)'!$B$7:$J$22,V$9,0),4)</f>
        <v>1.0659000000000001</v>
      </c>
      <c r="W15" s="274">
        <f>ROUND(VLOOKUP(MID($E15,4,3),'Wochentag F(WT)'!$B$7:$J$22,W$9,0),4)</f>
        <v>0.93620000000000003</v>
      </c>
      <c r="X15" s="275">
        <f t="shared" si="2"/>
        <v>0.90339999999999954</v>
      </c>
      <c r="Y15" s="292"/>
      <c r="Z15" s="210"/>
    </row>
    <row r="16" spans="2:26" s="142" customFormat="1">
      <c r="B16" s="143">
        <v>5</v>
      </c>
      <c r="C16" s="144" t="str">
        <f t="shared" si="0"/>
        <v>Netzgebiet TEN</v>
      </c>
      <c r="D16" s="62" t="s">
        <v>247</v>
      </c>
      <c r="E16" s="164" t="s">
        <v>667</v>
      </c>
      <c r="F16" s="296" t="str">
        <f>VLOOKUP($E16,'BDEW-Standard'!$B$3:$M$158,F$9,0)</f>
        <v>PD4</v>
      </c>
      <c r="H16" s="273">
        <f>ROUND(VLOOKUP($E16,'BDEW-Standard'!$B$3:$M$158,H$9,0),7)</f>
        <v>3.85</v>
      </c>
      <c r="I16" s="273">
        <f>ROUND(VLOOKUP($E16,'BDEW-Standard'!$B$3:$M$158,I$9,0),7)</f>
        <v>-37</v>
      </c>
      <c r="J16" s="273">
        <f>ROUND(VLOOKUP($E16,'BDEW-Standard'!$B$3:$M$158,J$9,0),7)</f>
        <v>10.2405021</v>
      </c>
      <c r="K16" s="273">
        <f>ROUND(VLOOKUP($E16,'BDEW-Standard'!$B$3:$M$158,K$9,0),7)</f>
        <v>4.6924300000000002E-2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0.75691065279879233</v>
      </c>
      <c r="R16" s="274">
        <f>ROUND(VLOOKUP(MID($E16,4,3),'Wochentag F(WT)'!$B$7:$J$22,R$9,0),4)</f>
        <v>1.0214000000000001</v>
      </c>
      <c r="S16" s="274">
        <f>ROUND(VLOOKUP(MID($E16,4,3),'Wochentag F(WT)'!$B$7:$J$22,S$9,0),4)</f>
        <v>1.0866</v>
      </c>
      <c r="T16" s="274">
        <f>ROUND(VLOOKUP(MID($E16,4,3),'Wochentag F(WT)'!$B$7:$J$22,T$9,0),4)</f>
        <v>1.0720000000000001</v>
      </c>
      <c r="U16" s="274">
        <f>ROUND(VLOOKUP(MID($E16,4,3),'Wochentag F(WT)'!$B$7:$J$22,U$9,0),4)</f>
        <v>1.0557000000000001</v>
      </c>
      <c r="V16" s="274">
        <f>ROUND(VLOOKUP(MID($E16,4,3),'Wochentag F(WT)'!$B$7:$J$22,V$9,0),4)</f>
        <v>1.0117</v>
      </c>
      <c r="W16" s="274">
        <f>ROUND(VLOOKUP(MID($E16,4,3),'Wochentag F(WT)'!$B$7:$J$22,W$9,0),4)</f>
        <v>0.90010000000000001</v>
      </c>
      <c r="X16" s="275">
        <f t="shared" si="2"/>
        <v>0.85249999999999915</v>
      </c>
      <c r="Y16" s="292"/>
      <c r="Z16" s="210"/>
    </row>
    <row r="17" spans="2:26" s="142" customFormat="1">
      <c r="B17" s="143">
        <v>6</v>
      </c>
      <c r="C17" s="144" t="str">
        <f t="shared" si="0"/>
        <v>Netzgebiet TEN</v>
      </c>
      <c r="D17" s="62" t="s">
        <v>247</v>
      </c>
      <c r="E17" s="164" t="s">
        <v>668</v>
      </c>
      <c r="F17" s="296" t="str">
        <f>VLOOKUP($E17,'BDEW-Standard'!$B$3:$M$158,F$9,0)</f>
        <v>HA4</v>
      </c>
      <c r="H17" s="273">
        <f>ROUND(VLOOKUP($E17,'BDEW-Standard'!$B$3:$M$158,H$9,0),7)</f>
        <v>4.0196902000000003</v>
      </c>
      <c r="I17" s="273">
        <f>ROUND(VLOOKUP($E17,'BDEW-Standard'!$B$3:$M$158,I$9,0),7)</f>
        <v>-37.828203700000003</v>
      </c>
      <c r="J17" s="273">
        <f>ROUND(VLOOKUP($E17,'BDEW-Standard'!$B$3:$M$158,J$9,0),7)</f>
        <v>8.1593368999999996</v>
      </c>
      <c r="K17" s="273">
        <f>ROUND(VLOOKUP($E17,'BDEW-Standard'!$B$3:$M$158,K$9,0),7)</f>
        <v>4.72845E-2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0.86486713303260787</v>
      </c>
      <c r="R17" s="274">
        <f>ROUND(VLOOKUP(MID($E17,4,3),'Wochentag F(WT)'!$B$7:$J$22,R$9,0),4)</f>
        <v>1.0358000000000001</v>
      </c>
      <c r="S17" s="274">
        <f>ROUND(VLOOKUP(MID($E17,4,3),'Wochentag F(WT)'!$B$7:$J$22,S$9,0),4)</f>
        <v>1.0232000000000001</v>
      </c>
      <c r="T17" s="274">
        <f>ROUND(VLOOKUP(MID($E17,4,3),'Wochentag F(WT)'!$B$7:$J$22,T$9,0),4)</f>
        <v>1.0251999999999999</v>
      </c>
      <c r="U17" s="274">
        <f>ROUND(VLOOKUP(MID($E17,4,3),'Wochentag F(WT)'!$B$7:$J$22,U$9,0),4)</f>
        <v>1.0295000000000001</v>
      </c>
      <c r="V17" s="274">
        <f>ROUND(VLOOKUP(MID($E17,4,3),'Wochentag F(WT)'!$B$7:$J$22,V$9,0),4)</f>
        <v>1.0253000000000001</v>
      </c>
      <c r="W17" s="274">
        <f>ROUND(VLOOKUP(MID($E17,4,3),'Wochentag F(WT)'!$B$7:$J$22,W$9,0),4)</f>
        <v>0.96750000000000003</v>
      </c>
      <c r="X17" s="275">
        <f t="shared" si="2"/>
        <v>0.89350000000000041</v>
      </c>
      <c r="Y17" s="292"/>
      <c r="Z17" s="210"/>
    </row>
    <row r="18" spans="2:26" s="142" customFormat="1">
      <c r="B18" s="143">
        <v>7</v>
      </c>
      <c r="C18" s="144" t="str">
        <f t="shared" si="0"/>
        <v>Netzgebiet TEN</v>
      </c>
      <c r="D18" s="62" t="s">
        <v>247</v>
      </c>
      <c r="E18" s="164" t="s">
        <v>669</v>
      </c>
      <c r="F18" s="296" t="str">
        <f>VLOOKUP($E18,'BDEW-Standard'!$B$3:$M$158,F$9,0)</f>
        <v>BD4</v>
      </c>
      <c r="H18" s="273">
        <f>ROUND(VLOOKUP($E18,'BDEW-Standard'!$B$3:$M$158,H$9,0),7)</f>
        <v>3.75</v>
      </c>
      <c r="I18" s="273">
        <f>ROUND(VLOOKUP($E18,'BDEW-Standard'!$B$3:$M$158,I$9,0),7)</f>
        <v>-37.5</v>
      </c>
      <c r="J18" s="273">
        <f>ROUND(VLOOKUP($E18,'BDEW-Standard'!$B$3:$M$158,J$9,0),7)</f>
        <v>6.8</v>
      </c>
      <c r="K18" s="273">
        <f>ROUND(VLOOKUP($E18,'BDEW-Standard'!$B$3:$M$158,K$9,0),7)</f>
        <v>6.0911300000000002E-2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1.0126136468627658</v>
      </c>
      <c r="R18" s="274">
        <f>ROUND(VLOOKUP(MID($E18,4,3),'Wochentag F(WT)'!$B$7:$J$22,R$9,0),4)</f>
        <v>1.1052</v>
      </c>
      <c r="S18" s="274">
        <f>ROUND(VLOOKUP(MID($E18,4,3),'Wochentag F(WT)'!$B$7:$J$22,S$9,0),4)</f>
        <v>1.0857000000000001</v>
      </c>
      <c r="T18" s="274">
        <f>ROUND(VLOOKUP(MID($E18,4,3),'Wochentag F(WT)'!$B$7:$J$22,T$9,0),4)</f>
        <v>1.0378000000000001</v>
      </c>
      <c r="U18" s="274">
        <f>ROUND(VLOOKUP(MID($E18,4,3),'Wochentag F(WT)'!$B$7:$J$22,U$9,0),4)</f>
        <v>1.0622</v>
      </c>
      <c r="V18" s="274">
        <f>ROUND(VLOOKUP(MID($E18,4,3),'Wochentag F(WT)'!$B$7:$J$22,V$9,0),4)</f>
        <v>1.0266</v>
      </c>
      <c r="W18" s="274">
        <f>ROUND(VLOOKUP(MID($E18,4,3),'Wochentag F(WT)'!$B$7:$J$22,W$9,0),4)</f>
        <v>0.76290000000000002</v>
      </c>
      <c r="X18" s="275">
        <f t="shared" si="2"/>
        <v>0.91959999999999997</v>
      </c>
      <c r="Y18" s="292"/>
      <c r="Z18" s="210"/>
    </row>
    <row r="19" spans="2:26" s="142" customFormat="1">
      <c r="B19" s="143">
        <v>8</v>
      </c>
      <c r="C19" s="144" t="str">
        <f t="shared" si="0"/>
        <v>Netzgebiet TEN</v>
      </c>
      <c r="D19" s="62" t="s">
        <v>247</v>
      </c>
      <c r="E19" s="164" t="s">
        <v>670</v>
      </c>
      <c r="F19" s="296" t="str">
        <f>VLOOKUP($E19,'BDEW-Standard'!$B$3:$M$158,F$9,0)</f>
        <v>KO4</v>
      </c>
      <c r="H19" s="273">
        <f>ROUND(VLOOKUP($E19,'BDEW-Standard'!$B$3:$M$158,H$9,0),7)</f>
        <v>3.4428942999999999</v>
      </c>
      <c r="I19" s="273">
        <f>ROUND(VLOOKUP($E19,'BDEW-Standard'!$B$3:$M$158,I$9,0),7)</f>
        <v>-36.659050399999998</v>
      </c>
      <c r="J19" s="273">
        <f>ROUND(VLOOKUP($E19,'BDEW-Standard'!$B$3:$M$158,J$9,0),7)</f>
        <v>7.6083226000000002</v>
      </c>
      <c r="K19" s="273">
        <f>ROUND(VLOOKUP($E19,'BDEW-Standard'!$B$3:$M$158,K$9,0),7)</f>
        <v>7.4685000000000001E-2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0.97768382110526542</v>
      </c>
      <c r="R19" s="274">
        <f>ROUND(VLOOKUP(MID($E19,4,3),'Wochentag F(WT)'!$B$7:$J$22,R$9,0),4)</f>
        <v>1.0354000000000001</v>
      </c>
      <c r="S19" s="274">
        <f>ROUND(VLOOKUP(MID($E19,4,3),'Wochentag F(WT)'!$B$7:$J$22,S$9,0),4)</f>
        <v>1.0523</v>
      </c>
      <c r="T19" s="274">
        <f>ROUND(VLOOKUP(MID($E19,4,3),'Wochentag F(WT)'!$B$7:$J$22,T$9,0),4)</f>
        <v>1.0448999999999999</v>
      </c>
      <c r="U19" s="274">
        <f>ROUND(VLOOKUP(MID($E19,4,3),'Wochentag F(WT)'!$B$7:$J$22,U$9,0),4)</f>
        <v>1.0494000000000001</v>
      </c>
      <c r="V19" s="274">
        <f>ROUND(VLOOKUP(MID($E19,4,3),'Wochentag F(WT)'!$B$7:$J$22,V$9,0),4)</f>
        <v>0.98850000000000005</v>
      </c>
      <c r="W19" s="274">
        <f>ROUND(VLOOKUP(MID($E19,4,3),'Wochentag F(WT)'!$B$7:$J$22,W$9,0),4)</f>
        <v>0.88600000000000001</v>
      </c>
      <c r="X19" s="275">
        <f t="shared" si="2"/>
        <v>0.94349999999999934</v>
      </c>
      <c r="Y19" s="292"/>
      <c r="Z19" s="210"/>
    </row>
    <row r="20" spans="2:26" s="142" customFormat="1">
      <c r="B20" s="143">
        <v>9</v>
      </c>
      <c r="C20" s="144" t="str">
        <f t="shared" si="0"/>
        <v>Netzgebiet TEN</v>
      </c>
      <c r="D20" s="62" t="s">
        <v>247</v>
      </c>
      <c r="E20" s="164" t="s">
        <v>671</v>
      </c>
      <c r="F20" s="296" t="str">
        <f>VLOOKUP($E20,'BDEW-Standard'!$B$3:$M$158,F$9,0)</f>
        <v>BH4</v>
      </c>
      <c r="H20" s="273">
        <f>ROUND(VLOOKUP($E20,'BDEW-Standard'!$B$3:$M$158,H$9,0),7)</f>
        <v>2.4595180999999999</v>
      </c>
      <c r="I20" s="273">
        <f>ROUND(VLOOKUP($E20,'BDEW-Standard'!$B$3:$M$158,I$9,0),7)</f>
        <v>-35.253212400000002</v>
      </c>
      <c r="J20" s="273">
        <f>ROUND(VLOOKUP($E20,'BDEW-Standard'!$B$3:$M$158,J$9,0),7)</f>
        <v>6.0587001000000003</v>
      </c>
      <c r="K20" s="273">
        <f>ROUND(VLOOKUP($E20,'BDEW-Standard'!$B$3:$M$158,K$9,0),7)</f>
        <v>0.16473699999999999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1.043802057143173</v>
      </c>
      <c r="R20" s="274">
        <f>ROUND(VLOOKUP(MID($E20,4,3),'Wochentag F(WT)'!$B$7:$J$22,R$9,0),4)</f>
        <v>0.97670000000000001</v>
      </c>
      <c r="S20" s="274">
        <f>ROUND(VLOOKUP(MID($E20,4,3),'Wochentag F(WT)'!$B$7:$J$22,S$9,0),4)</f>
        <v>1.0388999999999999</v>
      </c>
      <c r="T20" s="274">
        <f>ROUND(VLOOKUP(MID($E20,4,3),'Wochentag F(WT)'!$B$7:$J$22,T$9,0),4)</f>
        <v>1.0027999999999999</v>
      </c>
      <c r="U20" s="274">
        <f>ROUND(VLOOKUP(MID($E20,4,3),'Wochentag F(WT)'!$B$7:$J$22,U$9,0),4)</f>
        <v>1.0162</v>
      </c>
      <c r="V20" s="274">
        <f>ROUND(VLOOKUP(MID($E20,4,3),'Wochentag F(WT)'!$B$7:$J$22,V$9,0),4)</f>
        <v>1.0024</v>
      </c>
      <c r="W20" s="274">
        <f>ROUND(VLOOKUP(MID($E20,4,3),'Wochentag F(WT)'!$B$7:$J$22,W$9,0),4)</f>
        <v>1.0043</v>
      </c>
      <c r="X20" s="275">
        <f t="shared" si="2"/>
        <v>0.95870000000000122</v>
      </c>
      <c r="Y20" s="292"/>
      <c r="Z20" s="210"/>
    </row>
    <row r="21" spans="2:26" s="142" customFormat="1">
      <c r="B21" s="143">
        <v>10</v>
      </c>
      <c r="C21" s="144" t="str">
        <f t="shared" si="0"/>
        <v>Netzgebiet TEN</v>
      </c>
      <c r="D21" s="62" t="s">
        <v>247</v>
      </c>
      <c r="E21" s="164" t="s">
        <v>672</v>
      </c>
      <c r="F21" s="296" t="str">
        <f>VLOOKUP($E21,'BDEW-Standard'!$B$3:$M$158,F$9,0)</f>
        <v>GA4</v>
      </c>
      <c r="H21" s="273">
        <f>ROUND(VLOOKUP($E21,'BDEW-Standard'!$B$3:$M$158,H$9,0),7)</f>
        <v>2.8195655999999998</v>
      </c>
      <c r="I21" s="273">
        <f>ROUND(VLOOKUP($E21,'BDEW-Standard'!$B$3:$M$158,I$9,0),7)</f>
        <v>-36</v>
      </c>
      <c r="J21" s="273">
        <f>ROUND(VLOOKUP($E21,'BDEW-Standard'!$B$3:$M$158,J$9,0),7)</f>
        <v>7.7368518000000002</v>
      </c>
      <c r="K21" s="273">
        <f>ROUND(VLOOKUP($E21,'BDEW-Standard'!$B$3:$M$158,K$9,0),7)</f>
        <v>0.157281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0.96576337685759206</v>
      </c>
      <c r="R21" s="274">
        <f>ROUND(VLOOKUP(MID($E21,4,3),'Wochentag F(WT)'!$B$7:$J$22,R$9,0),4)</f>
        <v>0.93220000000000003</v>
      </c>
      <c r="S21" s="274">
        <f>ROUND(VLOOKUP(MID($E21,4,3),'Wochentag F(WT)'!$B$7:$J$22,S$9,0),4)</f>
        <v>0.98939999999999995</v>
      </c>
      <c r="T21" s="274">
        <f>ROUND(VLOOKUP(MID($E21,4,3),'Wochentag F(WT)'!$B$7:$J$22,T$9,0),4)</f>
        <v>1.0033000000000001</v>
      </c>
      <c r="U21" s="274">
        <f>ROUND(VLOOKUP(MID($E21,4,3),'Wochentag F(WT)'!$B$7:$J$22,U$9,0),4)</f>
        <v>1.0108999999999999</v>
      </c>
      <c r="V21" s="274">
        <f>ROUND(VLOOKUP(MID($E21,4,3),'Wochentag F(WT)'!$B$7:$J$22,V$9,0),4)</f>
        <v>1.018</v>
      </c>
      <c r="W21" s="274">
        <f>ROUND(VLOOKUP(MID($E21,4,3),'Wochentag F(WT)'!$B$7:$J$22,W$9,0),4)</f>
        <v>1.0356000000000001</v>
      </c>
      <c r="X21" s="275">
        <f t="shared" si="2"/>
        <v>1.0106000000000002</v>
      </c>
      <c r="Y21" s="292"/>
      <c r="Z21" s="210"/>
    </row>
    <row r="22" spans="2:26" s="142" customFormat="1">
      <c r="B22" s="143">
        <v>11</v>
      </c>
      <c r="C22" s="144" t="str">
        <f t="shared" si="0"/>
        <v>Netzgebiet TEN</v>
      </c>
      <c r="D22" s="62" t="s">
        <v>247</v>
      </c>
      <c r="E22" s="164" t="s">
        <v>673</v>
      </c>
      <c r="F22" s="296" t="str">
        <f>VLOOKUP($E22,'BDEW-Standard'!$B$3:$M$158,F$9,0)</f>
        <v>BA4</v>
      </c>
      <c r="H22" s="273">
        <f>ROUND(VLOOKUP($E22,'BDEW-Standard'!$B$3:$M$158,H$9,0),7)</f>
        <v>0.93158890000000005</v>
      </c>
      <c r="I22" s="273">
        <f>ROUND(VLOOKUP($E22,'BDEW-Standard'!$B$3:$M$158,I$9,0),7)</f>
        <v>-33.35</v>
      </c>
      <c r="J22" s="273">
        <f>ROUND(VLOOKUP($E22,'BDEW-Standard'!$B$3:$M$158,J$9,0),7)</f>
        <v>5.7212303000000002</v>
      </c>
      <c r="K22" s="273">
        <f>ROUND(VLOOKUP($E22,'BDEW-Standard'!$B$3:$M$158,K$9,0),7)</f>
        <v>0.66564939999999995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1.0766391850538448</v>
      </c>
      <c r="R22" s="274">
        <f>ROUND(VLOOKUP(MID($E22,4,3),'Wochentag F(WT)'!$B$7:$J$22,R$9,0),4)</f>
        <v>1.0848</v>
      </c>
      <c r="S22" s="274">
        <f>ROUND(VLOOKUP(MID($E22,4,3),'Wochentag F(WT)'!$B$7:$J$22,S$9,0),4)</f>
        <v>1.1211</v>
      </c>
      <c r="T22" s="274">
        <f>ROUND(VLOOKUP(MID($E22,4,3),'Wochentag F(WT)'!$B$7:$J$22,T$9,0),4)</f>
        <v>1.0769</v>
      </c>
      <c r="U22" s="274">
        <f>ROUND(VLOOKUP(MID($E22,4,3),'Wochentag F(WT)'!$B$7:$J$22,U$9,0),4)</f>
        <v>1.1353</v>
      </c>
      <c r="V22" s="274">
        <f>ROUND(VLOOKUP(MID($E22,4,3),'Wochentag F(WT)'!$B$7:$J$22,V$9,0),4)</f>
        <v>1.1402000000000001</v>
      </c>
      <c r="W22" s="274">
        <f>ROUND(VLOOKUP(MID($E22,4,3),'Wochentag F(WT)'!$B$7:$J$22,W$9,0),4)</f>
        <v>0.48520000000000002</v>
      </c>
      <c r="X22" s="275">
        <f t="shared" si="2"/>
        <v>0.95650000000000013</v>
      </c>
      <c r="Y22" s="292"/>
      <c r="Z22" s="210"/>
    </row>
    <row r="23" spans="2:26" s="142" customFormat="1">
      <c r="B23" s="143">
        <v>12</v>
      </c>
      <c r="C23" s="144" t="str">
        <f t="shared" si="0"/>
        <v>Netzgebiet TEN</v>
      </c>
      <c r="D23" s="62" t="s">
        <v>247</v>
      </c>
      <c r="E23" s="164" t="s">
        <v>674</v>
      </c>
      <c r="F23" s="296" t="str">
        <f>VLOOKUP($E23,'BDEW-Standard'!$B$3:$M$158,F$9,0)</f>
        <v>WA4</v>
      </c>
      <c r="H23" s="273">
        <f>ROUND(VLOOKUP($E23,'BDEW-Standard'!$B$3:$M$158,H$9,0),7)</f>
        <v>1.0535874999999999</v>
      </c>
      <c r="I23" s="273">
        <f>ROUND(VLOOKUP($E23,'BDEW-Standard'!$B$3:$M$158,I$9,0),7)</f>
        <v>-35.299999999999997</v>
      </c>
      <c r="J23" s="273">
        <f>ROUND(VLOOKUP($E23,'BDEW-Standard'!$B$3:$M$158,J$9,0),7)</f>
        <v>4.8662747</v>
      </c>
      <c r="K23" s="273">
        <f>ROUND(VLOOKUP($E23,'BDEW-Standard'!$B$3:$M$158,K$9,0),7)</f>
        <v>0.68110420000000005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1.0844348950990992</v>
      </c>
      <c r="R23" s="274">
        <f>ROUND(VLOOKUP(MID($E23,4,3),'Wochentag F(WT)'!$B$7:$J$22,R$9,0),4)</f>
        <v>1.2457</v>
      </c>
      <c r="S23" s="274">
        <f>ROUND(VLOOKUP(MID($E23,4,3),'Wochentag F(WT)'!$B$7:$J$22,S$9,0),4)</f>
        <v>1.2615000000000001</v>
      </c>
      <c r="T23" s="274">
        <f>ROUND(VLOOKUP(MID($E23,4,3),'Wochentag F(WT)'!$B$7:$J$22,T$9,0),4)</f>
        <v>1.2706999999999999</v>
      </c>
      <c r="U23" s="274">
        <f>ROUND(VLOOKUP(MID($E23,4,3),'Wochentag F(WT)'!$B$7:$J$22,U$9,0),4)</f>
        <v>1.2430000000000001</v>
      </c>
      <c r="V23" s="274">
        <f>ROUND(VLOOKUP(MID($E23,4,3),'Wochentag F(WT)'!$B$7:$J$22,V$9,0),4)</f>
        <v>1.1275999999999999</v>
      </c>
      <c r="W23" s="274">
        <f>ROUND(VLOOKUP(MID($E23,4,3),'Wochentag F(WT)'!$B$7:$J$22,W$9,0),4)</f>
        <v>0.38769999999999999</v>
      </c>
      <c r="X23" s="275">
        <f t="shared" si="2"/>
        <v>0.46379999999999999</v>
      </c>
      <c r="Y23" s="292"/>
      <c r="Z23" s="210"/>
    </row>
    <row r="24" spans="2:26" s="142" customFormat="1">
      <c r="B24" s="143">
        <v>13</v>
      </c>
      <c r="C24" s="144" t="str">
        <f t="shared" si="0"/>
        <v>Netzgebiet TEN</v>
      </c>
      <c r="D24" s="62" t="s">
        <v>247</v>
      </c>
      <c r="E24" s="164" t="s">
        <v>675</v>
      </c>
      <c r="F24" s="296" t="str">
        <f>VLOOKUP($E24,'BDEW-Standard'!$B$3:$M$158,F$9,0)</f>
        <v>GB4</v>
      </c>
      <c r="H24" s="273">
        <f>ROUND(VLOOKUP($E24,'BDEW-Standard'!$B$3:$M$158,H$9,0),7)</f>
        <v>3.6017736</v>
      </c>
      <c r="I24" s="273">
        <f>ROUND(VLOOKUP($E24,'BDEW-Standard'!$B$3:$M$158,I$9,0),7)</f>
        <v>-37.882536799999997</v>
      </c>
      <c r="J24" s="273">
        <f>ROUND(VLOOKUP($E24,'BDEW-Standard'!$B$3:$M$158,J$9,0),7)</f>
        <v>6.9836070000000001</v>
      </c>
      <c r="K24" s="273">
        <f>ROUND(VLOOKUP($E24,'BDEW-Standard'!$B$3:$M$158,K$9,0),7)</f>
        <v>5.4826199999999999E-2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0.90239375975311864</v>
      </c>
      <c r="R24" s="274">
        <f>ROUND(VLOOKUP(MID($E24,4,3),'Wochentag F(WT)'!$B$7:$J$22,R$9,0),4)</f>
        <v>0.98970000000000002</v>
      </c>
      <c r="S24" s="274">
        <f>ROUND(VLOOKUP(MID($E24,4,3),'Wochentag F(WT)'!$B$7:$J$22,S$9,0),4)</f>
        <v>0.9627</v>
      </c>
      <c r="T24" s="274">
        <f>ROUND(VLOOKUP(MID($E24,4,3),'Wochentag F(WT)'!$B$7:$J$22,T$9,0),4)</f>
        <v>1.0507</v>
      </c>
      <c r="U24" s="274">
        <f>ROUND(VLOOKUP(MID($E24,4,3),'Wochentag F(WT)'!$B$7:$J$22,U$9,0),4)</f>
        <v>1.0551999999999999</v>
      </c>
      <c r="V24" s="274">
        <f>ROUND(VLOOKUP(MID($E24,4,3),'Wochentag F(WT)'!$B$7:$J$22,V$9,0),4)</f>
        <v>1.0297000000000001</v>
      </c>
      <c r="W24" s="274">
        <f>ROUND(VLOOKUP(MID($E24,4,3),'Wochentag F(WT)'!$B$7:$J$22,W$9,0),4)</f>
        <v>0.97670000000000001</v>
      </c>
      <c r="X24" s="275">
        <f t="shared" si="2"/>
        <v>0.9352999999999998</v>
      </c>
      <c r="Y24" s="292"/>
      <c r="Z24" s="210"/>
    </row>
    <row r="25" spans="2:26" s="142" customFormat="1">
      <c r="B25" s="143">
        <v>14</v>
      </c>
      <c r="C25" s="144" t="str">
        <f t="shared" si="0"/>
        <v>Netzgebiet TEN</v>
      </c>
      <c r="D25" s="62" t="s">
        <v>247</v>
      </c>
      <c r="E25" s="164" t="s">
        <v>676</v>
      </c>
      <c r="F25" s="296" t="str">
        <f>VLOOKUP($E25,'BDEW-Standard'!$B$3:$M$158,F$9,0)</f>
        <v>MF4</v>
      </c>
      <c r="H25" s="273">
        <f>ROUND(VLOOKUP($E25,'BDEW-Standard'!$B$3:$M$158,H$9,0),7)</f>
        <v>2.5187775000000001</v>
      </c>
      <c r="I25" s="273">
        <f>ROUND(VLOOKUP($E25,'BDEW-Standard'!$B$3:$M$158,I$9,0),7)</f>
        <v>-35.033375399999997</v>
      </c>
      <c r="J25" s="273">
        <f>ROUND(VLOOKUP($E25,'BDEW-Standard'!$B$3:$M$158,J$9,0),7)</f>
        <v>6.2240634000000004</v>
      </c>
      <c r="K25" s="273">
        <f>ROUND(VLOOKUP($E25,'BDEW-Standard'!$B$3:$M$158,K$9,0),7)</f>
        <v>0.10107820000000001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1.0146273685996503</v>
      </c>
      <c r="R25" s="274">
        <f>ROUND(VLOOKUP(MID($E25,4,3),'Wochentag F(WT)'!$B$7:$J$22,R$9,0),4)</f>
        <v>1.0354000000000001</v>
      </c>
      <c r="S25" s="274">
        <f>ROUND(VLOOKUP(MID($E25,4,3),'Wochentag F(WT)'!$B$7:$J$22,S$9,0),4)</f>
        <v>1.0523</v>
      </c>
      <c r="T25" s="274">
        <f>ROUND(VLOOKUP(MID($E25,4,3),'Wochentag F(WT)'!$B$7:$J$22,T$9,0),4)</f>
        <v>1.0448999999999999</v>
      </c>
      <c r="U25" s="274">
        <f>ROUND(VLOOKUP(MID($E25,4,3),'Wochentag F(WT)'!$B$7:$J$22,U$9,0),4)</f>
        <v>1.0494000000000001</v>
      </c>
      <c r="V25" s="274">
        <f>ROUND(VLOOKUP(MID($E25,4,3),'Wochentag F(WT)'!$B$7:$J$22,V$9,0),4)</f>
        <v>0.98850000000000005</v>
      </c>
      <c r="W25" s="274">
        <f>ROUND(VLOOKUP(MID($E25,4,3),'Wochentag F(WT)'!$B$7:$J$22,W$9,0),4)</f>
        <v>0.88600000000000001</v>
      </c>
      <c r="X25" s="275">
        <f t="shared" si="2"/>
        <v>0.94349999999999934</v>
      </c>
      <c r="Y25" s="292"/>
      <c r="Z25" s="210"/>
    </row>
    <row r="26" spans="2:26" s="142" customFormat="1">
      <c r="B26" s="143">
        <v>15</v>
      </c>
      <c r="C26" s="144" t="str">
        <f t="shared" si="0"/>
        <v>Netzgebiet TEN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Netzgebiet TEN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Netzgebiet TEN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Netzgebiet TEN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Netzgebiet TEN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Netzgebiet TEN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Netzgebiet TEN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Netzgebiet TEN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Netzgebiet TEN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Netzgebiet TEN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Netzgebiet TEN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Netzgebiet TEN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Netzgebiet TEN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Netzgebiet TEN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Netzgebiet TEN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Netzgebiet TEN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5 F12:P25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F33" sqref="F33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Teutoburger Energie Netzwerk eG</v>
      </c>
      <c r="D4" s="76"/>
      <c r="G4" s="76"/>
      <c r="I4" s="76"/>
      <c r="J4" s="77"/>
      <c r="M4" s="86" t="s">
        <v>534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Netzgebiet TEN</v>
      </c>
      <c r="D5" s="37"/>
      <c r="E5" s="76"/>
      <c r="F5" s="76"/>
      <c r="G5" s="76"/>
      <c r="I5" s="76"/>
      <c r="J5" s="76"/>
      <c r="K5" s="76"/>
      <c r="L5" s="76"/>
      <c r="M5" s="88" t="s">
        <v>503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9870096400006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43497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6" t="s">
        <v>458</v>
      </c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8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1" t="s">
        <v>578</v>
      </c>
      <c r="C10" s="352"/>
      <c r="D10" s="94">
        <v>2</v>
      </c>
      <c r="E10" s="95" t="str">
        <f>IF(ISERROR(HLOOKUP(E$11,$M$9:$AD$33,$D10,0)),"",HLOOKUP(E$11,$M$9:$AD$33,$D10,0))</f>
        <v/>
      </c>
      <c r="F10" s="349" t="s">
        <v>397</v>
      </c>
      <c r="G10" s="349"/>
      <c r="H10" s="349"/>
      <c r="I10" s="349"/>
      <c r="J10" s="349"/>
      <c r="K10" s="349"/>
      <c r="L10" s="350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399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400</v>
      </c>
      <c r="C14" s="116"/>
      <c r="D14" s="111">
        <v>6</v>
      </c>
      <c r="E14" s="304">
        <f t="shared" si="0"/>
        <v>0</v>
      </c>
      <c r="F14" s="301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651</v>
      </c>
      <c r="C15" s="116"/>
      <c r="D15" s="111">
        <v>7</v>
      </c>
      <c r="E15" s="304">
        <f t="shared" si="0"/>
        <v>0</v>
      </c>
      <c r="F15" s="301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413</v>
      </c>
      <c r="C16" s="116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414</v>
      </c>
      <c r="C17" s="116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415</v>
      </c>
      <c r="C18" s="116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402</v>
      </c>
      <c r="C19" s="116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644</v>
      </c>
      <c r="C20" s="116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416</v>
      </c>
      <c r="C21" s="116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417</v>
      </c>
      <c r="C22" s="116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650</v>
      </c>
      <c r="C23" s="116"/>
      <c r="D23" s="111">
        <v>15</v>
      </c>
      <c r="E23" s="304">
        <f t="shared" si="0"/>
        <v>0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403</v>
      </c>
      <c r="C24" s="116"/>
      <c r="D24" s="111">
        <v>16</v>
      </c>
      <c r="E24" s="304">
        <f t="shared" si="0"/>
        <v>0</v>
      </c>
      <c r="F24" s="301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404</v>
      </c>
      <c r="C25" s="116"/>
      <c r="D25" s="111">
        <v>17</v>
      </c>
      <c r="E25" s="304">
        <f t="shared" si="0"/>
        <v>0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405</v>
      </c>
      <c r="C26" s="116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406</v>
      </c>
      <c r="C27" s="116"/>
      <c r="D27" s="111">
        <v>19</v>
      </c>
      <c r="E27" s="304">
        <f t="shared" si="0"/>
        <v>0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407</v>
      </c>
      <c r="C28" s="116"/>
      <c r="D28" s="111">
        <v>20</v>
      </c>
      <c r="E28" s="304">
        <f t="shared" si="0"/>
        <v>0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408</v>
      </c>
      <c r="C29" s="116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409</v>
      </c>
      <c r="C30" s="116"/>
      <c r="D30" s="111">
        <v>22</v>
      </c>
      <c r="E30" s="304">
        <f t="shared" si="0"/>
        <v>0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410</v>
      </c>
      <c r="C31" s="116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411</v>
      </c>
      <c r="C32" s="116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5">
        <f t="shared" si="0"/>
        <v>0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71" zoomScale="80" zoomScaleNormal="80" workbookViewId="0">
      <selection activeCell="B71" sqref="B1:C1048576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346</v>
      </c>
      <c r="B1" s="212">
        <v>42173</v>
      </c>
      <c r="D1" s="130" t="s">
        <v>454</v>
      </c>
      <c r="F1" s="213" t="s">
        <v>540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647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540</v>
      </c>
    </row>
    <row r="2" spans="1:16">
      <c r="A2" s="233"/>
      <c r="B2" s="232" t="s">
        <v>456</v>
      </c>
    </row>
    <row r="3" spans="1:16" ht="20.100000000000001" customHeight="1">
      <c r="A3" s="353" t="s">
        <v>248</v>
      </c>
      <c r="B3" s="234" t="s">
        <v>86</v>
      </c>
      <c r="C3" s="235"/>
      <c r="D3" s="355" t="s">
        <v>457</v>
      </c>
      <c r="E3" s="356"/>
      <c r="F3" s="356"/>
      <c r="G3" s="356"/>
      <c r="H3" s="356"/>
      <c r="I3" s="356"/>
      <c r="J3" s="357"/>
      <c r="K3" s="236"/>
      <c r="L3" s="236"/>
      <c r="M3" s="236"/>
      <c r="N3" s="236"/>
      <c r="O3" s="237"/>
      <c r="P3" s="236"/>
    </row>
    <row r="4" spans="1:16" ht="20.100000000000001" customHeight="1">
      <c r="A4" s="354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Nicolas Berger</cp:lastModifiedBy>
  <cp:lastPrinted>2015-03-20T22:59:10Z</cp:lastPrinted>
  <dcterms:created xsi:type="dcterms:W3CDTF">2015-01-15T05:25:41Z</dcterms:created>
  <dcterms:modified xsi:type="dcterms:W3CDTF">2018-11-29T14:03:43Z</dcterms:modified>
</cp:coreProperties>
</file>